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R:\1_RAPORTY OKRESOWE\2017\Raport roczny 2017\RR Skonsolidowany\"/>
    </mc:Choice>
  </mc:AlternateContent>
  <xr:revisionPtr revIDLastSave="0" documentId="10_ncr:8100000_{6D70DC0D-DDCD-4A78-8693-672B78C1DC00}" xr6:coauthVersionLast="32" xr6:coauthVersionMax="32" xr10:uidLastSave="{00000000-0000-0000-0000-000000000000}"/>
  <bookViews>
    <workbookView xWindow="0" yWindow="0" windowWidth="23040" windowHeight="8496" activeTab="2" xr2:uid="{A92AC662-9DF1-4BBF-B045-CD3AB09775A7}"/>
  </bookViews>
  <sheets>
    <sheet name="wybrane dane finansowe" sheetId="1" r:id="rId1"/>
    <sheet name="rachunek przepływów pieniężnych" sheetId="2" r:id="rId2"/>
    <sheet name="wskaźniki finansowe" sheetId="3" r:id="rId3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1" l="1"/>
  <c r="E21" i="1"/>
  <c r="E18" i="1"/>
  <c r="E15" i="1"/>
  <c r="D26" i="1"/>
  <c r="D23" i="1"/>
  <c r="D24" i="1"/>
  <c r="D21" i="1"/>
  <c r="D16" i="1"/>
  <c r="E11" i="1"/>
  <c r="E6" i="1"/>
  <c r="E4" i="1"/>
  <c r="D9" i="1"/>
  <c r="D8" i="1"/>
  <c r="D5" i="1"/>
  <c r="D4" i="1"/>
  <c r="C26" i="1"/>
  <c r="E26" i="1" s="1"/>
  <c r="B26" i="1"/>
  <c r="C25" i="1"/>
  <c r="E25" i="1" s="1"/>
  <c r="B25" i="1"/>
  <c r="F25" i="1" s="1"/>
  <c r="C24" i="1"/>
  <c r="F24" i="1" s="1"/>
  <c r="C23" i="1"/>
  <c r="F23" i="1" s="1"/>
  <c r="C22" i="1"/>
  <c r="B22" i="1"/>
  <c r="F22" i="1" s="1"/>
  <c r="C21" i="1"/>
  <c r="B21" i="1"/>
  <c r="C20" i="1"/>
  <c r="C19" i="1" s="1"/>
  <c r="E19" i="1" s="1"/>
  <c r="B20" i="1"/>
  <c r="F20" i="1" s="1"/>
  <c r="C18" i="1"/>
  <c r="B18" i="1"/>
  <c r="D18" i="1" s="1"/>
  <c r="C17" i="1"/>
  <c r="E17" i="1" s="1"/>
  <c r="B17" i="1"/>
  <c r="D17" i="1" s="1"/>
  <c r="C16" i="1"/>
  <c r="E16" i="1" s="1"/>
  <c r="B16" i="1"/>
  <c r="C15" i="1"/>
  <c r="B15" i="1"/>
  <c r="D15" i="1" s="1"/>
  <c r="C14" i="1"/>
  <c r="E14" i="1" s="1"/>
  <c r="B14" i="1"/>
  <c r="D14" i="1" s="1"/>
  <c r="C12" i="1"/>
  <c r="E12" i="1" s="1"/>
  <c r="B12" i="1"/>
  <c r="D12" i="1" s="1"/>
  <c r="C11" i="1"/>
  <c r="B11" i="1"/>
  <c r="F11" i="1" s="1"/>
  <c r="C10" i="1"/>
  <c r="E10" i="1" s="1"/>
  <c r="C9" i="1"/>
  <c r="E9" i="1" s="1"/>
  <c r="B9" i="1"/>
  <c r="C8" i="1"/>
  <c r="E8" i="1" s="1"/>
  <c r="B8" i="1"/>
  <c r="F8" i="1" s="1"/>
  <c r="C7" i="1"/>
  <c r="E7" i="1" s="1"/>
  <c r="B7" i="1"/>
  <c r="C6" i="1"/>
  <c r="B6" i="1"/>
  <c r="F6" i="1" s="1"/>
  <c r="C5" i="1"/>
  <c r="E5" i="1" s="1"/>
  <c r="B5" i="1"/>
  <c r="C4" i="1"/>
  <c r="B4" i="1"/>
  <c r="F4" i="1" s="1"/>
  <c r="F16" i="1" l="1"/>
  <c r="F26" i="1"/>
  <c r="D6" i="1"/>
  <c r="D22" i="1"/>
  <c r="D25" i="1"/>
  <c r="E20" i="1"/>
  <c r="E24" i="1"/>
  <c r="D20" i="1"/>
  <c r="F5" i="1"/>
  <c r="F7" i="1"/>
  <c r="D7" i="1"/>
  <c r="D11" i="1"/>
  <c r="E23" i="1"/>
  <c r="F14" i="1"/>
  <c r="F15" i="1"/>
  <c r="F18" i="1"/>
  <c r="F9" i="1"/>
  <c r="F21" i="1"/>
  <c r="F12" i="1"/>
  <c r="F17" i="1"/>
  <c r="B10" i="1"/>
  <c r="D10" i="1" s="1"/>
  <c r="B19" i="1"/>
  <c r="D19" i="1" s="1"/>
  <c r="F10" i="1" l="1"/>
  <c r="F19" i="1"/>
</calcChain>
</file>

<file path=xl/sharedStrings.xml><?xml version="1.0" encoding="utf-8"?>
<sst xmlns="http://schemas.openxmlformats.org/spreadsheetml/2006/main" count="64" uniqueCount="62">
  <si>
    <t>Przychody ze sprzedaży</t>
  </si>
  <si>
    <t>Amortyzacja</t>
  </si>
  <si>
    <t>Zysk (strata) ze sprzedaży brutto</t>
  </si>
  <si>
    <t>Zysk (strata) ze sprzedaży netto</t>
  </si>
  <si>
    <t>Zysk (strata) z działalności operacyjnej</t>
  </si>
  <si>
    <t>Zysk z działalności gospodarczej</t>
  </si>
  <si>
    <t>EBITDA</t>
  </si>
  <si>
    <t>Zysk (strata) brutto</t>
  </si>
  <si>
    <t>Zysk (strata) netto</t>
  </si>
  <si>
    <t>Aktywa razem, w tym:</t>
  </si>
  <si>
    <t>Aktywa trwałe</t>
  </si>
  <si>
    <t>Aktywa obrotowe</t>
  </si>
  <si>
    <t>Zapasy</t>
  </si>
  <si>
    <t>Środki pieniężne i inne aktywa pieniężne</t>
  </si>
  <si>
    <t>Należności razem, w tym:</t>
  </si>
  <si>
    <t>Należności krótkoterminowe</t>
  </si>
  <si>
    <t>Należności  długoterminowe</t>
  </si>
  <si>
    <t>Zobowiązania i rezerwy na zobowiązania, w tym:</t>
  </si>
  <si>
    <t>Zobowiązania i rezerwy długoterminowe</t>
  </si>
  <si>
    <t>Zobowiązania i rezerwy krótkoterminowe</t>
  </si>
  <si>
    <t>Kapitał własny, w tym:</t>
  </si>
  <si>
    <t>Kapitał podstawowy</t>
  </si>
  <si>
    <t>Przepływy pieniężne netto z działalności operacyjnej</t>
  </si>
  <si>
    <t>Przepływy pieniężne netto z działalności inwestycyjnej</t>
  </si>
  <si>
    <t>Przepływy pieniężne netto z działalności finansowej</t>
  </si>
  <si>
    <t>Przepływy pieniężne netto</t>
  </si>
  <si>
    <t>2017 
mln PLN</t>
  </si>
  <si>
    <t>2016 
mln PLN</t>
  </si>
  <si>
    <t>2017 
mln EUR</t>
  </si>
  <si>
    <t>2016 
mln EUR</t>
  </si>
  <si>
    <t>31.12.2017 mln PLN</t>
  </si>
  <si>
    <t>31.12.2016 mln PLN</t>
  </si>
  <si>
    <t>31.12.2017 mln EUR</t>
  </si>
  <si>
    <t>31.12.2016 mln EUR</t>
  </si>
  <si>
    <t>Dynamika mln PLN</t>
  </si>
  <si>
    <t>mln PLN</t>
  </si>
  <si>
    <t>Wskaźnik ogólnej płynności</t>
  </si>
  <si>
    <t>Wskaźnik ogólnego zadłużenia</t>
  </si>
  <si>
    <t>zmiana r/r</t>
  </si>
  <si>
    <t>Rentowność brutto na sprzedaży</t>
  </si>
  <si>
    <t>+4,4pp</t>
  </si>
  <si>
    <t>Rentowność EBITDA</t>
  </si>
  <si>
    <t>+0,4pp</t>
  </si>
  <si>
    <t>Rentowność operacyjna</t>
  </si>
  <si>
    <t>+0,6pp</t>
  </si>
  <si>
    <t>Rentowność netto</t>
  </si>
  <si>
    <t>+2,3pp</t>
  </si>
  <si>
    <t>Rentowność kapitału własnego (ROE)</t>
  </si>
  <si>
    <t>+6,7pp</t>
  </si>
  <si>
    <t>Rentowność majątku (ROA)</t>
  </si>
  <si>
    <t>+2,8pp</t>
  </si>
  <si>
    <t>-1,1pp</t>
  </si>
  <si>
    <t>+0,3pp</t>
  </si>
  <si>
    <t>Dług netto / EBITDA</t>
  </si>
  <si>
    <t>EV/EBITDA (na koniec okresu)</t>
  </si>
  <si>
    <t>Wybrane skonsolidowane wskaźniki finansowe Grupy Kapitałowej LUG S.A. za 2017 rok oraz wskaźniki porównywalne za 2016 rok</t>
  </si>
  <si>
    <t xml:space="preserve">Skonsolidowane przepływy pieniężne Grupy Kapitałowej LUG S.A. w MSR/MSSF za 2015 rok oraz dane porównywalne za 2016 rok </t>
  </si>
  <si>
    <t>Kurs euro na dzień bilansowy</t>
  </si>
  <si>
    <t>(31.12.)</t>
  </si>
  <si>
    <t>Średni kurs euro w okresie</t>
  </si>
  <si>
    <t>od 01.01. do 31.12.</t>
  </si>
  <si>
    <t xml:space="preserve">Wybrane skonsolidowane dane finansowe Grupy Kapitałowej LUG S.A.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</si>
</sst>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rgb="FF000000"/>
      <name val="Arial"/>
      <family val="2"/>
      <charset val="238"/>
    </font>
    <font>
      <i/>
      <sz val="10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9"/>
      <color rgb="FF00000A"/>
      <name val="Arial"/>
      <family val="2"/>
      <charset val="238"/>
    </font>
    <font>
      <sz val="11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E0E0E0"/>
        <bgColor indexed="64"/>
      </patternFill>
    </fill>
  </fills>
  <borders count="17">
    <border>
      <left/>
      <right/>
      <top/>
      <bottom/>
      <diagonal/>
    </border>
    <border>
      <left/>
      <right style="medium">
        <color rgb="FFC00000"/>
      </right>
      <top/>
      <bottom style="medium">
        <color rgb="FFC00000"/>
      </bottom>
      <diagonal/>
    </border>
    <border>
      <left style="hair">
        <color auto="1"/>
      </left>
      <right style="hair">
        <color auto="1"/>
      </right>
      <top/>
      <bottom style="medium">
        <color rgb="FFC00000"/>
      </bottom>
      <diagonal/>
    </border>
    <border>
      <left/>
      <right style="medium">
        <color rgb="FFC00000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medium">
        <color rgb="FFC00000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rgb="FFC00000"/>
      </right>
      <top/>
      <bottom/>
      <diagonal/>
    </border>
    <border>
      <left style="medium">
        <color rgb="FFC00000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 style="medium">
        <color rgb="FFDA241D"/>
      </right>
      <top/>
      <bottom style="medium">
        <color rgb="FFDA241D"/>
      </bottom>
      <diagonal/>
    </border>
    <border>
      <left/>
      <right style="medium">
        <color rgb="FFDA241D"/>
      </right>
      <top/>
      <bottom/>
      <diagonal/>
    </border>
    <border>
      <left/>
      <right style="dotted">
        <color rgb="FF535655"/>
      </right>
      <top/>
      <bottom style="medium">
        <color rgb="FFFFFFFF"/>
      </bottom>
      <diagonal/>
    </border>
    <border>
      <left/>
      <right/>
      <top/>
      <bottom style="medium">
        <color rgb="FFFFFFFF"/>
      </bottom>
      <diagonal/>
    </border>
    <border>
      <left/>
      <right style="dotted">
        <color rgb="FF535655"/>
      </right>
      <top/>
      <bottom style="medium">
        <color rgb="FFDA241D"/>
      </bottom>
      <diagonal/>
    </border>
    <border>
      <left/>
      <right/>
      <top/>
      <bottom style="medium">
        <color rgb="FFDA241D"/>
      </bottom>
      <diagonal/>
    </border>
    <border>
      <left/>
      <right style="dotted">
        <color rgb="FF535655"/>
      </right>
      <top/>
      <bottom/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81">
    <xf numFmtId="0" fontId="0" fillId="0" borderId="0" xfId="0"/>
    <xf numFmtId="0" fontId="2" fillId="0" borderId="1" xfId="0" applyFont="1" applyBorder="1" applyAlignment="1">
      <alignment horizontal="justify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/>
    </xf>
    <xf numFmtId="3" fontId="3" fillId="0" borderId="9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right" vertical="center"/>
    </xf>
    <xf numFmtId="164" fontId="5" fillId="0" borderId="0" xfId="0" applyNumberFormat="1" applyFont="1" applyFill="1" applyBorder="1" applyAlignment="1">
      <alignment horizontal="right" vertical="center"/>
    </xf>
    <xf numFmtId="1" fontId="3" fillId="0" borderId="0" xfId="0" applyNumberFormat="1" applyFont="1" applyFill="1" applyBorder="1" applyAlignment="1">
      <alignment horizontal="right" vertical="center" wrapText="1"/>
    </xf>
    <xf numFmtId="1" fontId="3" fillId="0" borderId="4" xfId="0" applyNumberFormat="1" applyFont="1" applyBorder="1" applyAlignment="1">
      <alignment horizontal="center" vertical="center" wrapText="1"/>
    </xf>
    <xf numFmtId="1" fontId="3" fillId="2" borderId="6" xfId="0" applyNumberFormat="1" applyFont="1" applyFill="1" applyBorder="1" applyAlignment="1">
      <alignment horizontal="center" vertical="center" wrapText="1"/>
    </xf>
    <xf numFmtId="1" fontId="3" fillId="0" borderId="6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3" fillId="3" borderId="11" xfId="0" applyFont="1" applyFill="1" applyBorder="1" applyAlignment="1">
      <alignment vertical="center"/>
    </xf>
    <xf numFmtId="4" fontId="3" fillId="3" borderId="16" xfId="0" applyNumberFormat="1" applyFont="1" applyFill="1" applyBorder="1" applyAlignment="1">
      <alignment horizontal="center" vertical="center"/>
    </xf>
    <xf numFmtId="4" fontId="3" fillId="3" borderId="0" xfId="0" applyNumberFormat="1" applyFont="1" applyFill="1" applyAlignment="1">
      <alignment horizontal="center" vertical="center"/>
    </xf>
    <xf numFmtId="4" fontId="3" fillId="0" borderId="16" xfId="0" applyNumberFormat="1" applyFont="1" applyBorder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" fontId="3" fillId="0" borderId="4" xfId="0" applyNumberFormat="1" applyFont="1" applyBorder="1" applyAlignment="1">
      <alignment horizontal="right" vertical="center"/>
    </xf>
    <xf numFmtId="4" fontId="4" fillId="0" borderId="4" xfId="0" applyNumberFormat="1" applyFont="1" applyBorder="1" applyAlignment="1">
      <alignment horizontal="right" vertical="center"/>
    </xf>
    <xf numFmtId="4" fontId="3" fillId="2" borderId="6" xfId="0" applyNumberFormat="1" applyFont="1" applyFill="1" applyBorder="1" applyAlignment="1">
      <alignment horizontal="right" vertical="center"/>
    </xf>
    <xf numFmtId="4" fontId="4" fillId="2" borderId="6" xfId="0" applyNumberFormat="1" applyFont="1" applyFill="1" applyBorder="1" applyAlignment="1">
      <alignment horizontal="right" vertical="center"/>
    </xf>
    <xf numFmtId="4" fontId="3" fillId="0" borderId="6" xfId="0" applyNumberFormat="1" applyFont="1" applyBorder="1" applyAlignment="1">
      <alignment horizontal="right" vertical="center"/>
    </xf>
    <xf numFmtId="4" fontId="4" fillId="0" borderId="6" xfId="0" applyNumberFormat="1" applyFont="1" applyBorder="1" applyAlignment="1">
      <alignment horizontal="right" vertical="center"/>
    </xf>
    <xf numFmtId="2" fontId="3" fillId="0" borderId="4" xfId="0" applyNumberFormat="1" applyFont="1" applyBorder="1" applyAlignment="1">
      <alignment horizontal="center" vertical="center"/>
    </xf>
    <xf numFmtId="2" fontId="3" fillId="2" borderId="6" xfId="0" applyNumberFormat="1" applyFont="1" applyFill="1" applyBorder="1" applyAlignment="1">
      <alignment horizontal="center" vertical="center"/>
    </xf>
    <xf numFmtId="2" fontId="3" fillId="0" borderId="6" xfId="0" applyNumberFormat="1" applyFont="1" applyBorder="1" applyAlignment="1">
      <alignment horizontal="center" vertical="center"/>
    </xf>
    <xf numFmtId="4" fontId="3" fillId="0" borderId="8" xfId="0" applyNumberFormat="1" applyFont="1" applyFill="1" applyBorder="1" applyAlignment="1">
      <alignment horizontal="right" vertical="center"/>
    </xf>
    <xf numFmtId="4" fontId="4" fillId="0" borderId="6" xfId="0" applyNumberFormat="1" applyFont="1" applyFill="1" applyBorder="1" applyAlignment="1">
      <alignment horizontal="right" vertical="center"/>
    </xf>
    <xf numFmtId="10" fontId="3" fillId="0" borderId="16" xfId="0" applyNumberFormat="1" applyFont="1" applyBorder="1" applyAlignment="1">
      <alignment horizontal="center" vertical="center"/>
    </xf>
    <xf numFmtId="10" fontId="3" fillId="3" borderId="16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justify" vertical="center"/>
    </xf>
    <xf numFmtId="0" fontId="6" fillId="0" borderId="14" xfId="0" applyFont="1" applyBorder="1" applyAlignment="1">
      <alignment horizontal="center" vertical="center" wrapText="1"/>
    </xf>
    <xf numFmtId="10" fontId="3" fillId="0" borderId="16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6" fillId="3" borderId="11" xfId="0" applyFont="1" applyFill="1" applyBorder="1" applyAlignment="1">
      <alignment vertical="center"/>
    </xf>
    <xf numFmtId="10" fontId="3" fillId="3" borderId="16" xfId="0" applyNumberFormat="1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 wrapText="1"/>
    </xf>
    <xf numFmtId="1" fontId="3" fillId="0" borderId="6" xfId="0" applyNumberFormat="1" applyFont="1" applyFill="1" applyBorder="1" applyAlignment="1">
      <alignment horizontal="center" vertical="center" wrapText="1"/>
    </xf>
    <xf numFmtId="4" fontId="3" fillId="0" borderId="4" xfId="0" applyNumberFormat="1" applyFont="1" applyFill="1" applyBorder="1" applyAlignment="1">
      <alignment horizontal="right" vertical="center"/>
    </xf>
    <xf numFmtId="4" fontId="3" fillId="0" borderId="6" xfId="0" applyNumberFormat="1" applyFont="1" applyFill="1" applyBorder="1" applyAlignment="1">
      <alignment horizontal="right" vertical="center"/>
    </xf>
    <xf numFmtId="0" fontId="3" fillId="0" borderId="11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0" fillId="0" borderId="0" xfId="0" applyAlignment="1"/>
    <xf numFmtId="0" fontId="0" fillId="0" borderId="0" xfId="0" applyAlignment="1"/>
    <xf numFmtId="0" fontId="10" fillId="0" borderId="0" xfId="0" applyFont="1" applyAlignment="1"/>
    <xf numFmtId="0" fontId="8" fillId="0" borderId="0" xfId="0" applyFont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9" fillId="0" borderId="11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11" fillId="3" borderId="16" xfId="0" applyFont="1" applyFill="1" applyBorder="1" applyAlignment="1">
      <alignment horizontal="center" vertical="center"/>
    </xf>
    <xf numFmtId="0" fontId="11" fillId="3" borderId="0" xfId="0" applyFont="1" applyFill="1" applyAlignment="1">
      <alignment horizontal="center" vertical="center"/>
    </xf>
    <xf numFmtId="0" fontId="10" fillId="0" borderId="0" xfId="0" applyFont="1"/>
    <xf numFmtId="4" fontId="4" fillId="2" borderId="4" xfId="0" applyNumberFormat="1" applyFont="1" applyFill="1" applyBorder="1" applyAlignment="1">
      <alignment horizontal="right" vertical="center"/>
    </xf>
    <xf numFmtId="0" fontId="0" fillId="2" borderId="0" xfId="0" applyFill="1"/>
  </cellXfs>
  <cellStyles count="3">
    <cellStyle name="Normalny" xfId="0" builtinId="0"/>
    <cellStyle name="Normalny 2 2" xfId="1" xr:uid="{75423068-540A-4D00-B3D2-0CCAA6F0B67C}"/>
    <cellStyle name="Procentowy 2 2" xfId="2" xr:uid="{C5F9CECE-3EE8-4FC8-A003-33D882C9FC8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</xdr:row>
      <xdr:rowOff>0</xdr:rowOff>
    </xdr:from>
    <xdr:to>
      <xdr:col>12</xdr:col>
      <xdr:colOff>65484</xdr:colOff>
      <xdr:row>62</xdr:row>
      <xdr:rowOff>53340</xdr:rowOff>
    </xdr:to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B031CAEC-BE13-44D4-BA38-F80F9B97867C}"/>
            </a:ext>
          </a:extLst>
        </xdr:cNvPr>
        <xdr:cNvSpPr txBox="1"/>
      </xdr:nvSpPr>
      <xdr:spPr>
        <a:xfrm>
          <a:off x="8130540" y="365760"/>
          <a:ext cx="4332684" cy="110337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pl-PL" sz="1100" b="1"/>
            <a:t>Objaśnienia:</a:t>
          </a:r>
        </a:p>
        <a:p>
          <a:endParaRPr lang="pl-PL" sz="1100" b="1"/>
        </a:p>
        <a:p>
          <a:r>
            <a:rPr lang="pl-PL" sz="1100" b="1"/>
            <a:t>1.</a:t>
          </a:r>
          <a:r>
            <a:rPr lang="pl-PL" sz="1100"/>
            <a:t> </a:t>
          </a:r>
          <a:r>
            <a:rPr lang="pl-PL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Rentowność brutto na sprzedaży</a:t>
          </a:r>
        </a:p>
        <a:p>
          <a:r>
            <a:rPr lang="pl-PL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Formuła:</a:t>
          </a:r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wynik brutto na sprzedaży / przychody ze sprzedaży</a:t>
          </a:r>
        </a:p>
        <a:p>
          <a:r>
            <a:rPr lang="pl-PL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Opis:</a:t>
          </a:r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określa poziom podstawowej marży uzyskiwanej ze sprzedaży usług i produktów</a:t>
          </a:r>
        </a:p>
        <a:p>
          <a:endParaRPr lang="pl-PL" sz="1100" baseline="0"/>
        </a:p>
        <a:p>
          <a:r>
            <a:rPr lang="pl-PL" sz="1100" b="1" baseline="0"/>
            <a:t>2. Wskaźnik rentowności EBITDA</a:t>
          </a:r>
        </a:p>
        <a:p>
          <a:r>
            <a:rPr lang="pl-PL" sz="1100" u="sng" baseline="0">
              <a:solidFill>
                <a:schemeClr val="dk1"/>
              </a:solidFill>
              <a:latin typeface="+mn-lt"/>
              <a:ea typeface="+mn-ea"/>
              <a:cs typeface="+mn-cs"/>
            </a:rPr>
            <a:t>Formuła: </a:t>
          </a:r>
          <a:r>
            <a:rPr lang="pl-PL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(wynika na działalności operacyjnej+amortyzacja) / przychody ze sprzedaży</a:t>
          </a:r>
          <a:endParaRPr lang="pl-PL"/>
        </a:p>
        <a:p>
          <a:r>
            <a:rPr lang="pl-PL" sz="1100" u="sng" baseline="0">
              <a:solidFill>
                <a:schemeClr val="dk1"/>
              </a:solidFill>
              <a:latin typeface="+mn-lt"/>
              <a:ea typeface="+mn-ea"/>
              <a:cs typeface="+mn-cs"/>
            </a:rPr>
            <a:t>Opis:  </a:t>
          </a:r>
          <a:r>
            <a:rPr lang="pl-PL"/>
            <a:t>mierzy efektywność konwersji przychodów na zysk z działalności ciągłej przed odsetkami od zaciągniętych kredytów, podatkami, deprecjacją i amortyzacją oraz przed pozycjami wyjątkowymi. </a:t>
          </a:r>
        </a:p>
        <a:p>
          <a:endParaRPr lang="pl-PL"/>
        </a:p>
        <a:p>
          <a:r>
            <a:rPr lang="pl-PL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3.</a:t>
          </a:r>
          <a:r>
            <a:rPr lang="pl-PL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Wskaźnik rentowności operacyjnej</a:t>
          </a:r>
          <a:endParaRPr lang="pl-PL">
            <a:effectLst/>
          </a:endParaRPr>
        </a:p>
        <a:p>
          <a:r>
            <a:rPr lang="pl-PL" sz="110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Formuła:</a:t>
          </a:r>
          <a:r>
            <a:rPr lang="pl-PL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wynik na działalności operacyjnej / przychody ze sprzedaży</a:t>
          </a:r>
          <a:endParaRPr lang="pl-PL">
            <a:effectLst/>
          </a:endParaRPr>
        </a:p>
        <a:p>
          <a:r>
            <a:rPr lang="pl-PL" sz="110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Opis: </a:t>
          </a:r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określa, ile zysku netto (po opodatkowaniu) przypada na 1 złoty przychodów firmy</a:t>
          </a:r>
          <a:endParaRPr lang="pl-PL">
            <a:effectLst/>
          </a:endParaRPr>
        </a:p>
        <a:p>
          <a:endParaRPr lang="pl-PL"/>
        </a:p>
        <a:p>
          <a:r>
            <a:rPr lang="pl-PL" sz="1100" b="1"/>
            <a:t>4. Wskaźnik</a:t>
          </a:r>
          <a:r>
            <a:rPr lang="pl-PL" sz="1100" b="1" baseline="0"/>
            <a:t> rentowności netto</a:t>
          </a:r>
        </a:p>
        <a:p>
          <a:r>
            <a:rPr lang="pl-PL" sz="1100" u="sng" baseline="0">
              <a:solidFill>
                <a:schemeClr val="dk1"/>
              </a:solidFill>
              <a:latin typeface="+mn-lt"/>
              <a:ea typeface="+mn-ea"/>
              <a:cs typeface="+mn-cs"/>
            </a:rPr>
            <a:t>Formuła: </a:t>
          </a:r>
          <a:r>
            <a:rPr lang="pl-PL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Wynik netto / Przychody ze sprzedaży</a:t>
          </a:r>
          <a:endParaRPr lang="pl-PL"/>
        </a:p>
        <a:p>
          <a:r>
            <a:rPr lang="pl-PL" sz="1100" u="sng" baseline="0">
              <a:solidFill>
                <a:schemeClr val="dk1"/>
              </a:solidFill>
              <a:latin typeface="+mn-lt"/>
              <a:ea typeface="+mn-ea"/>
              <a:cs typeface="+mn-cs"/>
            </a:rPr>
            <a:t>Opis: </a:t>
          </a:r>
          <a:r>
            <a:rPr lang="pl-PL"/>
            <a:t>informuje inwestorów ile procent przychodów ze sprzedaży stanowi zysk netto</a:t>
          </a:r>
        </a:p>
        <a:p>
          <a:endParaRPr lang="pl-PL" sz="1100"/>
        </a:p>
        <a:p>
          <a:r>
            <a:rPr lang="pl-PL" sz="1100" b="1"/>
            <a:t>5. Wskaśnik rentowności kapitału własnego</a:t>
          </a:r>
          <a:r>
            <a:rPr lang="pl-PL" sz="1100" b="1" baseline="0"/>
            <a:t> (ROE)</a:t>
          </a:r>
        </a:p>
        <a:p>
          <a:r>
            <a:rPr lang="pl-PL" sz="1100" u="sng" baseline="0">
              <a:solidFill>
                <a:schemeClr val="dk1"/>
              </a:solidFill>
              <a:latin typeface="+mn-lt"/>
              <a:ea typeface="+mn-ea"/>
              <a:cs typeface="+mn-cs"/>
            </a:rPr>
            <a:t>Formuła:</a:t>
          </a:r>
          <a:r>
            <a:rPr lang="pl-PL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Wynik netto / Kapitał własny, gdzie: Kapitał własny = Aktywa ogółem - Zobowiązania ogółem</a:t>
          </a:r>
          <a:endParaRPr lang="pl-PL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l-PL" sz="1100" u="sng" baseline="0">
              <a:solidFill>
                <a:schemeClr val="dk1"/>
              </a:solidFill>
              <a:latin typeface="+mn-lt"/>
              <a:ea typeface="+mn-ea"/>
              <a:cs typeface="+mn-cs"/>
            </a:rPr>
            <a:t>Opis:</a:t>
          </a:r>
          <a:r>
            <a:rPr lang="pl-PL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pl-PL" b="0"/>
            <a:t>określa stopę zyskowności zainwestowanych w firmie kapitałów własnych</a:t>
          </a:r>
        </a:p>
        <a:p>
          <a:endParaRPr lang="pl-PL" sz="1100"/>
        </a:p>
        <a:p>
          <a:r>
            <a:rPr lang="pl-PL" sz="1100" b="1"/>
            <a:t>6. Wskaźnik</a:t>
          </a:r>
          <a:r>
            <a:rPr lang="pl-PL" sz="1100" b="1" baseline="0"/>
            <a:t> rentowności majątku (ROA)</a:t>
          </a:r>
        </a:p>
        <a:p>
          <a:r>
            <a:rPr lang="pl-PL" sz="1100" u="sng" baseline="0">
              <a:solidFill>
                <a:schemeClr val="dk1"/>
              </a:solidFill>
              <a:latin typeface="+mn-lt"/>
              <a:ea typeface="+mn-ea"/>
              <a:cs typeface="+mn-cs"/>
            </a:rPr>
            <a:t>Formuła:</a:t>
          </a:r>
          <a:r>
            <a:rPr lang="pl-PL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Wynik netto / aktywa  ogółem</a:t>
          </a:r>
          <a:endParaRPr lang="pl-PL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l-PL" sz="1100" u="sng" baseline="0">
              <a:solidFill>
                <a:schemeClr val="dk1"/>
              </a:solidFill>
              <a:latin typeface="+mn-lt"/>
              <a:ea typeface="+mn-ea"/>
              <a:cs typeface="+mn-cs"/>
            </a:rPr>
            <a:t>Opis: </a:t>
          </a:r>
          <a:r>
            <a:rPr lang="pl-PL" b="0"/>
            <a:t>informuje o tym jaka jest rentowność wszystkich aktywów firmy w stosunku do wypracowanych przez nią zysków,</a:t>
          </a:r>
          <a:r>
            <a:rPr lang="pl-PL" b="0" baseline="0"/>
            <a:t> </a:t>
          </a:r>
          <a:r>
            <a:rPr lang="pl-PL" b="0"/>
            <a:t>czy innymi</a:t>
          </a:r>
          <a:r>
            <a:rPr lang="pl-PL" b="0" baseline="0"/>
            <a:t> słowy ile zysku netto  przynosi każda złotówka zaangażowana w finansowanie majątku</a:t>
          </a:r>
          <a:endParaRPr lang="pl-PL" b="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pl-PL"/>
        </a:p>
        <a:p>
          <a:r>
            <a:rPr lang="pl-PL" sz="1100" b="1"/>
            <a:t>7. Wskaźnik ogólnej płynności</a:t>
          </a:r>
        </a:p>
        <a:p>
          <a:r>
            <a:rPr lang="pl-PL" sz="1100" u="sng" baseline="0">
              <a:solidFill>
                <a:schemeClr val="dk1"/>
              </a:solidFill>
              <a:latin typeface="+mn-lt"/>
              <a:ea typeface="+mn-ea"/>
              <a:cs typeface="+mn-cs"/>
            </a:rPr>
            <a:t>Formuła:</a:t>
          </a:r>
          <a:r>
            <a:rPr lang="pl-PL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aktywa obrotowe / zobowiązania krótkoterminowe</a:t>
          </a:r>
          <a:endParaRPr lang="pl-PL"/>
        </a:p>
        <a:p>
          <a:r>
            <a:rPr lang="pl-PL" sz="1100" u="sng" baseline="0">
              <a:solidFill>
                <a:schemeClr val="dk1"/>
              </a:solidFill>
              <a:latin typeface="+mn-lt"/>
              <a:ea typeface="+mn-ea"/>
              <a:cs typeface="+mn-cs"/>
            </a:rPr>
            <a:t>Opis:</a:t>
          </a:r>
          <a:r>
            <a:rPr lang="pl-PL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pl-PL"/>
            <a:t>informuje o zdolności przedsiębiorstwa do regulowania zobowiązań w oparciu o wszystkie aktywa obrotowe</a:t>
          </a:r>
        </a:p>
        <a:p>
          <a:endParaRPr lang="pl-PL" sz="1100"/>
        </a:p>
        <a:p>
          <a:r>
            <a:rPr lang="pl-PL" sz="1100" b="1"/>
            <a:t>8. Wskaźnik ogólnego</a:t>
          </a:r>
          <a:r>
            <a:rPr lang="pl-PL" sz="1100" b="1" baseline="0"/>
            <a:t> zadłużenia</a:t>
          </a:r>
        </a:p>
        <a:p>
          <a:r>
            <a:rPr lang="pl-PL" sz="1100" u="sng" baseline="0">
              <a:solidFill>
                <a:schemeClr val="dk1"/>
              </a:solidFill>
              <a:latin typeface="+mn-lt"/>
              <a:ea typeface="+mn-ea"/>
              <a:cs typeface="+mn-cs"/>
            </a:rPr>
            <a:t>Formuła:</a:t>
          </a:r>
          <a:r>
            <a:rPr lang="pl-PL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zobowiązania ogółem / aktywa razem</a:t>
          </a:r>
          <a:endParaRPr lang="pl-PL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l-PL" sz="1100" u="sng" baseline="0">
              <a:solidFill>
                <a:schemeClr val="dk1"/>
              </a:solidFill>
              <a:latin typeface="+mn-lt"/>
              <a:ea typeface="+mn-ea"/>
              <a:cs typeface="+mn-cs"/>
            </a:rPr>
            <a:t>Opis:</a:t>
          </a:r>
          <a:r>
            <a:rPr lang="pl-PL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pl-PL" b="0"/>
            <a:t>mówi o tym jaki udział w finansowaniu majątku firmy mają zobowiązania i dług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pl-PL" b="0"/>
        </a:p>
        <a:p>
          <a:r>
            <a:rPr lang="pl-PL" b="1"/>
            <a:t>9. </a:t>
          </a:r>
          <a:r>
            <a:rPr lang="pl-PL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Dług netto / EBITDA</a:t>
          </a:r>
        </a:p>
        <a:p>
          <a:r>
            <a:rPr lang="pl-PL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Formuła</a:t>
          </a:r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Zadłużenie netto / EBITDA, gdzie: Zadłużenie netto = Zobowiązania finansowe ogółem (krótko i długoterminowe) – Środki pieniężne; w mianowniku suma EBITDA dla ostatnich czterech kwartałów</a:t>
          </a:r>
        </a:p>
        <a:p>
          <a:r>
            <a:rPr lang="pl-PL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Opis:</a:t>
          </a:r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informuje o zdolności spółki do spłaty zadłużenia zyskami operacyjnymi.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EV/EBITDA</a:t>
          </a:r>
        </a:p>
        <a:p>
          <a:r>
            <a:rPr lang="pl-PL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Formuła: </a:t>
          </a:r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Wartość przedsiębiorstwa / EBITDA, gdzie: Wartość przedsiębiorstwa = Kapitalizacja (liczba akcji X kurs akcji w określonym dniu) + Zobowiązania ogółem (krótko i długoterminowe) + Kapitały mniejszości – Środki pieniężne; przy czym kapitalizacja została określona wg kursu akcji na ostatni dzień danego kwartału; w mianowniku suma EBITDA dla ostatnich czterech kwartałów</a:t>
          </a:r>
        </a:p>
        <a:p>
          <a:r>
            <a:rPr lang="pl-PL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Opis:</a:t>
          </a:r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informuje o pokryciu zysku wartością przedsiębiorstwa i jako wskaźnik dynamiczny (zależny od kursu akcji spółki) wskazuje, ile inwestorzy są gotowi zapłacić za jednostkę tego rodzaju zysku.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pl-PL"/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CF75B1-0B4E-4C8E-A33A-C4B055FA19EA}">
  <dimension ref="A1:N29"/>
  <sheetViews>
    <sheetView workbookViewId="0">
      <selection activeCell="I23" sqref="I23"/>
    </sheetView>
  </sheetViews>
  <sheetFormatPr defaultRowHeight="14.4" x14ac:dyDescent="0.3"/>
  <cols>
    <col min="1" max="1" width="35.44140625" customWidth="1"/>
    <col min="2" max="2" width="15" customWidth="1"/>
    <col min="3" max="3" width="12.5546875" customWidth="1"/>
    <col min="4" max="4" width="13.5546875" customWidth="1"/>
    <col min="5" max="5" width="12.5546875" customWidth="1"/>
    <col min="6" max="6" width="15.77734375" customWidth="1"/>
    <col min="8" max="8" width="8.88671875" customWidth="1"/>
    <col min="9" max="9" width="12.6640625" customWidth="1"/>
    <col min="10" max="10" width="36" customWidth="1"/>
    <col min="11" max="11" width="34" customWidth="1"/>
  </cols>
  <sheetData>
    <row r="1" spans="1:11" x14ac:dyDescent="0.3">
      <c r="A1" s="78" t="s">
        <v>61</v>
      </c>
    </row>
    <row r="3" spans="1:11" ht="27" thickBot="1" x14ac:dyDescent="0.35">
      <c r="A3" s="1"/>
      <c r="B3" s="2" t="s">
        <v>26</v>
      </c>
      <c r="C3" s="2" t="s">
        <v>27</v>
      </c>
      <c r="D3" s="2" t="s">
        <v>28</v>
      </c>
      <c r="E3" s="2" t="s">
        <v>29</v>
      </c>
      <c r="F3" s="2" t="s">
        <v>34</v>
      </c>
      <c r="I3" s="71"/>
    </row>
    <row r="4" spans="1:11" x14ac:dyDescent="0.3">
      <c r="A4" s="3" t="s">
        <v>0</v>
      </c>
      <c r="B4" s="58">
        <f>142304.5/1000</f>
        <v>142.30449999999999</v>
      </c>
      <c r="C4" s="33">
        <f>120857/1000</f>
        <v>120.857</v>
      </c>
      <c r="D4" s="33">
        <f>B4/$K$7</f>
        <v>33.523640132865317</v>
      </c>
      <c r="E4" s="33">
        <f>C4/$K$6</f>
        <v>27.620037936787256</v>
      </c>
      <c r="F4" s="38">
        <f t="shared" ref="F4:F12" si="0">B4/C4*100</f>
        <v>117.74617936900633</v>
      </c>
      <c r="I4" s="69"/>
      <c r="J4" s="66" t="s">
        <v>57</v>
      </c>
      <c r="K4" s="65" t="s">
        <v>59</v>
      </c>
    </row>
    <row r="5" spans="1:11" ht="15" thickBot="1" x14ac:dyDescent="0.35">
      <c r="A5" s="4" t="s">
        <v>1</v>
      </c>
      <c r="B5" s="34">
        <f>5037/1000</f>
        <v>5.0369999999999999</v>
      </c>
      <c r="C5" s="35">
        <f>4453/1000</f>
        <v>4.4530000000000003</v>
      </c>
      <c r="D5" s="79">
        <f>B5/$K$7</f>
        <v>1.1866003910575043</v>
      </c>
      <c r="E5" s="79">
        <f>C5/$K$6</f>
        <v>1.017665744909386</v>
      </c>
      <c r="F5" s="39">
        <f t="shared" si="0"/>
        <v>113.11475409836065</v>
      </c>
      <c r="I5" s="70"/>
      <c r="J5" s="67" t="s">
        <v>58</v>
      </c>
      <c r="K5" s="68" t="s">
        <v>60</v>
      </c>
    </row>
    <row r="6" spans="1:11" x14ac:dyDescent="0.3">
      <c r="A6" s="5" t="s">
        <v>2</v>
      </c>
      <c r="B6" s="59">
        <f>61864.9/1000</f>
        <v>61.864899999999999</v>
      </c>
      <c r="C6" s="37">
        <f>47230/1000</f>
        <v>47.23</v>
      </c>
      <c r="D6" s="33">
        <f>B6/$K$7</f>
        <v>14.573935781761643</v>
      </c>
      <c r="E6" s="33">
        <f>C6/$K$6</f>
        <v>10.793701579175902</v>
      </c>
      <c r="F6" s="40">
        <f t="shared" si="0"/>
        <v>130.98644929070505</v>
      </c>
      <c r="I6" s="72">
        <v>2016</v>
      </c>
      <c r="J6" s="73">
        <v>4.4240000000000004</v>
      </c>
      <c r="K6" s="74">
        <v>4.3757000000000001</v>
      </c>
    </row>
    <row r="7" spans="1:11" x14ac:dyDescent="0.3">
      <c r="A7" s="4" t="s">
        <v>3</v>
      </c>
      <c r="B7" s="34">
        <f>5760/1000</f>
        <v>5.76</v>
      </c>
      <c r="C7" s="35">
        <f>4098/1000</f>
        <v>4.0979999999999999</v>
      </c>
      <c r="D7" s="79">
        <f>B7/$K$7</f>
        <v>1.3569224245565266</v>
      </c>
      <c r="E7" s="79">
        <f>C7/$K$6</f>
        <v>0.93653586854674675</v>
      </c>
      <c r="F7" s="39">
        <f t="shared" si="0"/>
        <v>140.55636896046852</v>
      </c>
      <c r="I7" s="75">
        <v>2017</v>
      </c>
      <c r="J7" s="76">
        <v>4.1708999999999996</v>
      </c>
      <c r="K7" s="77">
        <v>4.2449000000000003</v>
      </c>
    </row>
    <row r="8" spans="1:11" x14ac:dyDescent="0.3">
      <c r="A8" s="5" t="s">
        <v>4</v>
      </c>
      <c r="B8" s="36">
        <f>7261/1000</f>
        <v>7.2610000000000001</v>
      </c>
      <c r="C8" s="37">
        <f>5495/1000</f>
        <v>5.4950000000000001</v>
      </c>
      <c r="D8" s="33">
        <f>B8/$K$7</f>
        <v>1.7105232160946076</v>
      </c>
      <c r="E8" s="33">
        <f>C8/$K$6</f>
        <v>1.2557990721484562</v>
      </c>
      <c r="F8" s="40">
        <f t="shared" si="0"/>
        <v>132.1383075523203</v>
      </c>
    </row>
    <row r="9" spans="1:11" x14ac:dyDescent="0.3">
      <c r="A9" s="4" t="s">
        <v>5</v>
      </c>
      <c r="B9" s="34">
        <f>8666/1000</f>
        <v>8.6660000000000004</v>
      </c>
      <c r="C9" s="35">
        <f>3961/1000</f>
        <v>3.9609999999999999</v>
      </c>
      <c r="D9" s="79">
        <f>B9/$K$7</f>
        <v>2.0415086338900799</v>
      </c>
      <c r="E9" s="79">
        <f>C9/$K$6</f>
        <v>0.90522659231665781</v>
      </c>
      <c r="F9" s="39">
        <f t="shared" si="0"/>
        <v>218.78313557182531</v>
      </c>
    </row>
    <row r="10" spans="1:11" x14ac:dyDescent="0.3">
      <c r="A10" s="5" t="s">
        <v>6</v>
      </c>
      <c r="B10" s="36">
        <f>B8+B5</f>
        <v>12.298</v>
      </c>
      <c r="C10" s="37">
        <f>9949/1000</f>
        <v>9.9489999999999998</v>
      </c>
      <c r="D10" s="33">
        <f>B10/$K$7</f>
        <v>2.8971236071521118</v>
      </c>
      <c r="E10" s="33">
        <f>C10/$K$6</f>
        <v>2.2736933519208353</v>
      </c>
      <c r="F10" s="40">
        <f t="shared" si="0"/>
        <v>123.6104131068449</v>
      </c>
    </row>
    <row r="11" spans="1:11" x14ac:dyDescent="0.3">
      <c r="A11" s="4" t="s">
        <v>7</v>
      </c>
      <c r="B11" s="34">
        <f>8666/1000</f>
        <v>8.6660000000000004</v>
      </c>
      <c r="C11" s="35">
        <f>3961/1000</f>
        <v>3.9609999999999999</v>
      </c>
      <c r="D11" s="79">
        <f>B11/$K$7</f>
        <v>2.0415086338900799</v>
      </c>
      <c r="E11" s="79">
        <f>C11/$K$6</f>
        <v>0.90522659231665781</v>
      </c>
      <c r="F11" s="39">
        <f t="shared" si="0"/>
        <v>218.78313557182531</v>
      </c>
    </row>
    <row r="12" spans="1:11" x14ac:dyDescent="0.3">
      <c r="A12" s="5" t="s">
        <v>8</v>
      </c>
      <c r="B12" s="36">
        <f>7091/1000</f>
        <v>7.0910000000000002</v>
      </c>
      <c r="C12" s="37">
        <f>3009/1000</f>
        <v>3.0089999999999999</v>
      </c>
      <c r="D12" s="33">
        <f>B12/$K$7</f>
        <v>1.6704751584254045</v>
      </c>
      <c r="E12" s="33">
        <f>C12/$K$6</f>
        <v>0.68766140274698906</v>
      </c>
      <c r="F12" s="40">
        <f t="shared" si="0"/>
        <v>235.6596876038551</v>
      </c>
    </row>
    <row r="13" spans="1:11" ht="27" thickBot="1" x14ac:dyDescent="0.35">
      <c r="A13" s="6"/>
      <c r="B13" s="2" t="s">
        <v>30</v>
      </c>
      <c r="C13" s="2" t="s">
        <v>31</v>
      </c>
      <c r="D13" s="2" t="s">
        <v>32</v>
      </c>
      <c r="E13" s="2" t="s">
        <v>33</v>
      </c>
      <c r="F13" s="2" t="s">
        <v>34</v>
      </c>
    </row>
    <row r="14" spans="1:11" x14ac:dyDescent="0.3">
      <c r="A14" s="7" t="s">
        <v>9</v>
      </c>
      <c r="B14" s="32">
        <f>121962/1000</f>
        <v>121.962</v>
      </c>
      <c r="C14" s="33">
        <f>107427/1000</f>
        <v>107.42700000000001</v>
      </c>
      <c r="D14" s="33">
        <f>B14/$J$7</f>
        <v>29.241170970294185</v>
      </c>
      <c r="E14" s="33">
        <f>C14/$J$6</f>
        <v>24.282775768535263</v>
      </c>
      <c r="F14" s="15">
        <f t="shared" ref="F14:F26" si="1">B14/C14*100</f>
        <v>113.53011812672791</v>
      </c>
    </row>
    <row r="15" spans="1:11" x14ac:dyDescent="0.3">
      <c r="A15" s="4" t="s">
        <v>10</v>
      </c>
      <c r="B15" s="34">
        <f>55408/1000</f>
        <v>55.408000000000001</v>
      </c>
      <c r="C15" s="35">
        <f>49918/1000</f>
        <v>49.917999999999999</v>
      </c>
      <c r="D15" s="79">
        <f>B15/$J$7</f>
        <v>13.284423026205378</v>
      </c>
      <c r="E15" s="79">
        <f>C15/$J$6</f>
        <v>11.283453887884267</v>
      </c>
      <c r="F15" s="16">
        <f t="shared" si="1"/>
        <v>110.99803678031972</v>
      </c>
    </row>
    <row r="16" spans="1:11" x14ac:dyDescent="0.3">
      <c r="A16" s="5" t="s">
        <v>11</v>
      </c>
      <c r="B16" s="36">
        <f>66554/1000</f>
        <v>66.554000000000002</v>
      </c>
      <c r="C16" s="37">
        <f>57509/1000</f>
        <v>57.509</v>
      </c>
      <c r="D16" s="33">
        <f>B16/$J$7</f>
        <v>15.956747944088807</v>
      </c>
      <c r="E16" s="33">
        <f>C16/$J$6</f>
        <v>12.999321880650994</v>
      </c>
      <c r="F16" s="17">
        <f t="shared" si="1"/>
        <v>115.72797301291973</v>
      </c>
    </row>
    <row r="17" spans="1:14" x14ac:dyDescent="0.3">
      <c r="A17" s="4" t="s">
        <v>12</v>
      </c>
      <c r="B17" s="34">
        <f>32592/1000</f>
        <v>32.591999999999999</v>
      </c>
      <c r="C17" s="35">
        <f>29833/1000</f>
        <v>29.832999999999998</v>
      </c>
      <c r="D17" s="79">
        <f>B17/$J$7</f>
        <v>7.8141408329137603</v>
      </c>
      <c r="E17" s="79">
        <f>C17/$J$6</f>
        <v>6.743444846292947</v>
      </c>
      <c r="F17" s="16">
        <f t="shared" si="1"/>
        <v>109.24814802400027</v>
      </c>
    </row>
    <row r="18" spans="1:14" x14ac:dyDescent="0.3">
      <c r="A18" s="5" t="s">
        <v>13</v>
      </c>
      <c r="B18" s="36">
        <f>2624/1000</f>
        <v>2.6240000000000001</v>
      </c>
      <c r="C18" s="37">
        <f>987/1000</f>
        <v>0.98699999999999999</v>
      </c>
      <c r="D18" s="33">
        <f>B18/$J$7</f>
        <v>0.62912081325373426</v>
      </c>
      <c r="E18" s="33">
        <f>C18/$J$6</f>
        <v>0.22310126582278478</v>
      </c>
      <c r="F18" s="17">
        <f t="shared" si="1"/>
        <v>265.85612968591693</v>
      </c>
    </row>
    <row r="19" spans="1:14" x14ac:dyDescent="0.3">
      <c r="A19" s="4" t="s">
        <v>14</v>
      </c>
      <c r="B19" s="34">
        <f>B20+B21</f>
        <v>30.2818</v>
      </c>
      <c r="C19" s="35">
        <f>C20+C21</f>
        <v>26.007000000000001</v>
      </c>
      <c r="D19" s="79">
        <f>B19/$J$7</f>
        <v>7.2602555803303854</v>
      </c>
      <c r="E19" s="79">
        <f>C19/$J$6</f>
        <v>5.8786166365280286</v>
      </c>
      <c r="F19" s="16">
        <f t="shared" si="1"/>
        <v>116.43711308493867</v>
      </c>
    </row>
    <row r="20" spans="1:14" x14ac:dyDescent="0.3">
      <c r="A20" s="5" t="s">
        <v>15</v>
      </c>
      <c r="B20" s="36">
        <f>29867/1000</f>
        <v>29.867000000000001</v>
      </c>
      <c r="C20" s="37">
        <f>25472/1000</f>
        <v>25.472000000000001</v>
      </c>
      <c r="D20" s="33">
        <f>B20/$J$7</f>
        <v>7.1608046225035373</v>
      </c>
      <c r="E20" s="33">
        <f>C20/$J$6</f>
        <v>5.7576853526220617</v>
      </c>
      <c r="F20" s="17">
        <f t="shared" si="1"/>
        <v>117.25423994974875</v>
      </c>
    </row>
    <row r="21" spans="1:14" x14ac:dyDescent="0.3">
      <c r="A21" s="4" t="s">
        <v>16</v>
      </c>
      <c r="B21" s="34">
        <f>414.8/1000</f>
        <v>0.4148</v>
      </c>
      <c r="C21" s="35">
        <f>535/1000</f>
        <v>0.53500000000000003</v>
      </c>
      <c r="D21" s="79">
        <f>B21/$J$7</f>
        <v>9.945095782684793E-2</v>
      </c>
      <c r="E21" s="79">
        <f>C21/$J$6</f>
        <v>0.12093128390596744</v>
      </c>
      <c r="F21" s="16">
        <f t="shared" si="1"/>
        <v>77.532710280373834</v>
      </c>
    </row>
    <row r="22" spans="1:14" ht="26.4" x14ac:dyDescent="0.3">
      <c r="A22" s="8" t="s">
        <v>17</v>
      </c>
      <c r="B22" s="59">
        <f>70528/1000</f>
        <v>70.528000000000006</v>
      </c>
      <c r="C22" s="37">
        <f>61841/1000</f>
        <v>61.841000000000001</v>
      </c>
      <c r="D22" s="33">
        <f>B22/$J$7</f>
        <v>16.909539907454029</v>
      </c>
      <c r="E22" s="33">
        <f>C22/$J$6</f>
        <v>13.978526220614826</v>
      </c>
      <c r="F22" s="17">
        <f t="shared" si="1"/>
        <v>114.04731488818098</v>
      </c>
    </row>
    <row r="23" spans="1:14" x14ac:dyDescent="0.3">
      <c r="A23" s="4" t="s">
        <v>18</v>
      </c>
      <c r="B23" s="34">
        <v>14.36</v>
      </c>
      <c r="C23" s="35">
        <f>13751/1000</f>
        <v>13.750999999999999</v>
      </c>
      <c r="D23" s="79">
        <f>B23/$J$7</f>
        <v>3.4429020115562592</v>
      </c>
      <c r="E23" s="79">
        <f>C23/$J$6</f>
        <v>3.108273056057866</v>
      </c>
      <c r="F23" s="16">
        <f t="shared" si="1"/>
        <v>104.42876881681333</v>
      </c>
    </row>
    <row r="24" spans="1:14" x14ac:dyDescent="0.3">
      <c r="A24" s="5" t="s">
        <v>19</v>
      </c>
      <c r="B24" s="59">
        <v>56.17</v>
      </c>
      <c r="C24" s="37">
        <f>48090/1000</f>
        <v>48.09</v>
      </c>
      <c r="D24" s="33">
        <f>B24/$J$7</f>
        <v>13.467117408712749</v>
      </c>
      <c r="E24" s="33">
        <f>C24/$J$6</f>
        <v>10.870253164556962</v>
      </c>
      <c r="F24" s="17">
        <f t="shared" si="1"/>
        <v>116.80182990226658</v>
      </c>
    </row>
    <row r="25" spans="1:14" ht="25.2" customHeight="1" x14ac:dyDescent="0.3">
      <c r="A25" s="4" t="s">
        <v>20</v>
      </c>
      <c r="B25" s="34">
        <f>(52974-1540)/1000</f>
        <v>51.433999999999997</v>
      </c>
      <c r="C25" s="35">
        <f>45586/1000</f>
        <v>45.585999999999999</v>
      </c>
      <c r="D25" s="79">
        <f>B25/$J$7</f>
        <v>12.331631062840154</v>
      </c>
      <c r="E25" s="79">
        <f>C25/$J$6</f>
        <v>10.304249547920433</v>
      </c>
      <c r="F25" s="16">
        <f t="shared" si="1"/>
        <v>112.82849997806343</v>
      </c>
    </row>
    <row r="26" spans="1:14" x14ac:dyDescent="0.3">
      <c r="A26" s="9" t="s">
        <v>21</v>
      </c>
      <c r="B26" s="41">
        <f>1799.6425/1000</f>
        <v>1.7996425</v>
      </c>
      <c r="C26" s="42">
        <f>1799.6425/1000</f>
        <v>1.7996425</v>
      </c>
      <c r="D26" s="33">
        <f>B26/$J$7</f>
        <v>0.43147582056630468</v>
      </c>
      <c r="E26" s="33">
        <f>C26/$J$6</f>
        <v>0.4067908001808318</v>
      </c>
      <c r="F26" s="57">
        <f t="shared" si="1"/>
        <v>100</v>
      </c>
      <c r="G26" s="10"/>
      <c r="H26" s="11"/>
      <c r="I26" s="12"/>
      <c r="J26" s="12"/>
      <c r="K26" s="12"/>
      <c r="L26" s="13"/>
      <c r="M26" s="13"/>
      <c r="N26" s="14"/>
    </row>
    <row r="29" spans="1:14" x14ac:dyDescent="0.3">
      <c r="E29" s="80"/>
    </row>
  </sheetData>
  <mergeCells count="1">
    <mergeCell ref="I4:I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0D8E8B-7716-4171-904F-73B331B3A51E}">
  <dimension ref="A1:C8"/>
  <sheetViews>
    <sheetView workbookViewId="0">
      <selection activeCell="B16" sqref="B16"/>
    </sheetView>
  </sheetViews>
  <sheetFormatPr defaultRowHeight="14.4" x14ac:dyDescent="0.3"/>
  <cols>
    <col min="1" max="1" width="48.21875" customWidth="1"/>
    <col min="2" max="2" width="30.33203125" customWidth="1"/>
    <col min="3" max="3" width="33.88671875" customWidth="1"/>
  </cols>
  <sheetData>
    <row r="1" spans="1:3" x14ac:dyDescent="0.3">
      <c r="A1" s="64" t="s">
        <v>56</v>
      </c>
      <c r="B1" s="62"/>
      <c r="C1" s="62"/>
    </row>
    <row r="3" spans="1:3" ht="15" thickBot="1" x14ac:dyDescent="0.35">
      <c r="A3" s="60"/>
      <c r="B3" s="19">
        <v>2016</v>
      </c>
      <c r="C3" s="20">
        <v>2017</v>
      </c>
    </row>
    <row r="4" spans="1:3" ht="15" thickBot="1" x14ac:dyDescent="0.35">
      <c r="A4" s="61"/>
      <c r="B4" s="21" t="s">
        <v>35</v>
      </c>
      <c r="C4" s="22" t="s">
        <v>35</v>
      </c>
    </row>
    <row r="5" spans="1:3" x14ac:dyDescent="0.3">
      <c r="A5" s="23" t="s">
        <v>22</v>
      </c>
      <c r="B5" s="24">
        <v>6.33</v>
      </c>
      <c r="C5" s="25">
        <v>8.4700000000000006</v>
      </c>
    </row>
    <row r="6" spans="1:3" x14ac:dyDescent="0.3">
      <c r="A6" s="18" t="s">
        <v>23</v>
      </c>
      <c r="B6" s="26">
        <v>-5.86</v>
      </c>
      <c r="C6" s="27">
        <v>-8.5</v>
      </c>
    </row>
    <row r="7" spans="1:3" x14ac:dyDescent="0.3">
      <c r="A7" s="23" t="s">
        <v>24</v>
      </c>
      <c r="B7" s="24">
        <v>-0.35</v>
      </c>
      <c r="C7" s="28">
        <v>1.67</v>
      </c>
    </row>
    <row r="8" spans="1:3" x14ac:dyDescent="0.3">
      <c r="A8" s="29" t="s">
        <v>25</v>
      </c>
      <c r="B8" s="30">
        <v>0.12</v>
      </c>
      <c r="C8" s="31">
        <v>1.64</v>
      </c>
    </row>
  </sheetData>
  <mergeCells count="2">
    <mergeCell ref="A3:A4"/>
    <mergeCell ref="A1:C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FEC34F-8CB9-45F8-B4B6-4D7DC2019620}">
  <dimension ref="A1:G13"/>
  <sheetViews>
    <sheetView tabSelected="1" workbookViewId="0">
      <selection activeCell="A9" sqref="A9"/>
    </sheetView>
  </sheetViews>
  <sheetFormatPr defaultRowHeight="14.4" x14ac:dyDescent="0.3"/>
  <cols>
    <col min="1" max="1" width="40.21875" bestFit="1" customWidth="1"/>
    <col min="2" max="2" width="21.88671875" customWidth="1"/>
    <col min="3" max="3" width="22.6640625" customWidth="1"/>
    <col min="4" max="4" width="24.88671875" customWidth="1"/>
  </cols>
  <sheetData>
    <row r="1" spans="1:7" x14ac:dyDescent="0.3">
      <c r="A1" s="64" t="s">
        <v>55</v>
      </c>
      <c r="B1" s="64"/>
      <c r="C1" s="64"/>
      <c r="D1" s="64"/>
      <c r="E1" s="63"/>
      <c r="F1" s="63"/>
      <c r="G1" s="63"/>
    </row>
    <row r="2" spans="1:7" x14ac:dyDescent="0.3">
      <c r="A2" s="62"/>
      <c r="B2" s="62"/>
      <c r="C2" s="62"/>
      <c r="D2" s="62"/>
      <c r="E2" s="63"/>
      <c r="F2" s="63"/>
      <c r="G2" s="63"/>
    </row>
    <row r="3" spans="1:7" ht="15" thickBot="1" x14ac:dyDescent="0.35">
      <c r="A3" s="45"/>
      <c r="B3" s="21">
        <v>2016</v>
      </c>
      <c r="C3" s="46">
        <v>2017</v>
      </c>
      <c r="D3" s="22" t="s">
        <v>38</v>
      </c>
    </row>
    <row r="4" spans="1:7" x14ac:dyDescent="0.3">
      <c r="A4" s="29" t="s">
        <v>39</v>
      </c>
      <c r="B4" s="43">
        <v>0.39100000000000001</v>
      </c>
      <c r="C4" s="47">
        <v>0.435</v>
      </c>
      <c r="D4" s="48" t="s">
        <v>40</v>
      </c>
    </row>
    <row r="5" spans="1:7" x14ac:dyDescent="0.3">
      <c r="A5" s="49" t="s">
        <v>41</v>
      </c>
      <c r="B5" s="44">
        <v>8.2000000000000003E-2</v>
      </c>
      <c r="C5" s="50">
        <v>8.5999999999999993E-2</v>
      </c>
      <c r="D5" s="51" t="s">
        <v>42</v>
      </c>
    </row>
    <row r="6" spans="1:7" x14ac:dyDescent="0.3">
      <c r="A6" s="29" t="s">
        <v>43</v>
      </c>
      <c r="B6" s="43">
        <v>4.4999999999999998E-2</v>
      </c>
      <c r="C6" s="47">
        <v>5.0999999999999997E-2</v>
      </c>
      <c r="D6" s="48" t="s">
        <v>44</v>
      </c>
    </row>
    <row r="7" spans="1:7" x14ac:dyDescent="0.3">
      <c r="A7" s="49" t="s">
        <v>45</v>
      </c>
      <c r="B7" s="44">
        <v>2.5999999999999999E-2</v>
      </c>
      <c r="C7" s="50">
        <v>4.9000000000000002E-2</v>
      </c>
      <c r="D7" s="51" t="s">
        <v>46</v>
      </c>
    </row>
    <row r="8" spans="1:7" x14ac:dyDescent="0.3">
      <c r="A8" s="29" t="s">
        <v>47</v>
      </c>
      <c r="B8" s="43">
        <v>6.9000000000000006E-2</v>
      </c>
      <c r="C8" s="47">
        <v>0.13600000000000001</v>
      </c>
      <c r="D8" s="48" t="s">
        <v>48</v>
      </c>
    </row>
    <row r="9" spans="1:7" x14ac:dyDescent="0.3">
      <c r="A9" s="49" t="s">
        <v>49</v>
      </c>
      <c r="B9" s="44">
        <v>2.9000000000000001E-2</v>
      </c>
      <c r="C9" s="50">
        <v>5.7000000000000002E-2</v>
      </c>
      <c r="D9" s="51" t="s">
        <v>50</v>
      </c>
    </row>
    <row r="10" spans="1:7" x14ac:dyDescent="0.3">
      <c r="A10" s="29" t="s">
        <v>36</v>
      </c>
      <c r="B10" s="43">
        <v>1.196</v>
      </c>
      <c r="C10" s="47">
        <v>1.1850000000000001</v>
      </c>
      <c r="D10" s="48" t="s">
        <v>51</v>
      </c>
    </row>
    <row r="11" spans="1:7" x14ac:dyDescent="0.3">
      <c r="A11" s="49" t="s">
        <v>37</v>
      </c>
      <c r="B11" s="44">
        <v>0.57599999999999996</v>
      </c>
      <c r="C11" s="50">
        <v>0.57799999999999996</v>
      </c>
      <c r="D11" s="51" t="s">
        <v>52</v>
      </c>
    </row>
    <row r="12" spans="1:7" x14ac:dyDescent="0.3">
      <c r="A12" s="29" t="s">
        <v>53</v>
      </c>
      <c r="B12" s="52">
        <v>2.62</v>
      </c>
      <c r="C12" s="53">
        <v>2.41</v>
      </c>
      <c r="D12" s="54">
        <v>-0.22</v>
      </c>
    </row>
    <row r="13" spans="1:7" x14ac:dyDescent="0.3">
      <c r="A13" s="49" t="s">
        <v>54</v>
      </c>
      <c r="B13" s="55">
        <v>5.18</v>
      </c>
      <c r="C13" s="56">
        <v>7.9</v>
      </c>
      <c r="D13" s="28">
        <v>2.72</v>
      </c>
    </row>
  </sheetData>
  <mergeCells count="2">
    <mergeCell ref="A2:D2"/>
    <mergeCell ref="A1:D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wybrane dane finansowe</vt:lpstr>
      <vt:lpstr>rachunek przepływów pieniężnych</vt:lpstr>
      <vt:lpstr>wskaźniki finansowe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 Bartoszak</dc:creator>
  <cp:lastModifiedBy>Angelika Biały</cp:lastModifiedBy>
  <dcterms:created xsi:type="dcterms:W3CDTF">2018-04-21T10:40:22Z</dcterms:created>
  <dcterms:modified xsi:type="dcterms:W3CDTF">2018-05-07T09:39:35Z</dcterms:modified>
</cp:coreProperties>
</file>